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C:\Users\ryan.brown\Downloads\"/>
    </mc:Choice>
  </mc:AlternateContent>
  <xr:revisionPtr revIDLastSave="0" documentId="8_{9ECF9FF8-72F9-4761-986C-71651E15E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arison" sheetId="1" r:id="rId1"/>
    <sheet name="Pricing Inpu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L16" i="1"/>
  <c r="M16" i="1"/>
  <c r="D14" i="1"/>
  <c r="A14" i="1"/>
  <c r="D15" i="1"/>
  <c r="B15" i="1"/>
  <c r="B14" i="1"/>
  <c r="I6" i="1"/>
  <c r="F16" i="1" s="1"/>
  <c r="I5" i="1"/>
  <c r="C15" i="1" s="1"/>
  <c r="I4" i="1"/>
  <c r="C16" i="1" s="1"/>
  <c r="F14" i="1" l="1"/>
  <c r="G16" i="1"/>
  <c r="H16" i="1" s="1"/>
  <c r="I16" i="1" s="1"/>
  <c r="G14" i="1"/>
  <c r="F15" i="1"/>
  <c r="G15" i="1"/>
  <c r="E15" i="1"/>
  <c r="C14" i="1"/>
  <c r="E14" i="1" s="1"/>
  <c r="H14" i="1" l="1"/>
  <c r="I14" i="1" s="1"/>
  <c r="J14" i="1" s="1"/>
  <c r="H15" i="1"/>
  <c r="I15" i="1" s="1"/>
  <c r="J15" i="1" s="1"/>
  <c r="K15" i="1" l="1"/>
  <c r="L15" i="1"/>
  <c r="M15" i="1"/>
  <c r="K14" i="1"/>
  <c r="L14" i="1"/>
  <c r="M14" i="1"/>
  <c r="E16" i="1" l="1"/>
  <c r="J16" i="1" s="1"/>
  <c r="B23" i="1" l="1"/>
  <c r="D23" i="1"/>
  <c r="C23" i="1"/>
  <c r="E23" i="1" l="1"/>
  <c r="C25" i="1"/>
  <c r="D25" i="1"/>
  <c r="B25" i="1"/>
  <c r="C24" i="1"/>
  <c r="B24" i="1"/>
  <c r="D24" i="1"/>
  <c r="E24" i="1" s="1"/>
  <c r="E25" i="1" l="1"/>
</calcChain>
</file>

<file path=xl/sharedStrings.xml><?xml version="1.0" encoding="utf-8"?>
<sst xmlns="http://schemas.openxmlformats.org/spreadsheetml/2006/main" count="102" uniqueCount="85">
  <si>
    <t>Server Platform Pricing Comparison</t>
  </si>
  <si>
    <t>Config Input</t>
  </si>
  <si>
    <t>Value</t>
  </si>
  <si>
    <t>Notes</t>
  </si>
  <si>
    <t>Calculated Config</t>
  </si>
  <si>
    <t>Number of servers</t>
  </si>
  <si>
    <t>Change to model 1 server, 3 servers, 5 servers, etc.</t>
  </si>
  <si>
    <t>Total cores</t>
  </si>
  <si>
    <t>Sockets per server</t>
  </si>
  <si>
    <t>Used for Proxmox per-socket pricing and total cores.</t>
  </si>
  <si>
    <t>Total sockets</t>
  </si>
  <si>
    <t>Cores per socket</t>
  </si>
  <si>
    <t>Used for VMware and Hyper-V per-core pricing.</t>
  </si>
  <si>
    <t>Total raw storage (TiB)</t>
  </si>
  <si>
    <t>Raw storage per server (TiB)</t>
  </si>
  <si>
    <t>Used only when HCI comparison is turned on.</t>
  </si>
  <si>
    <t>Include HCI storage comparison?</t>
  </si>
  <si>
    <t>Yes</t>
  </si>
  <si>
    <t>Yes/No toggle. If No, HCI add-on cost is zero.</t>
  </si>
  <si>
    <t>VMware license option</t>
  </si>
  <si>
    <t>VVF</t>
  </si>
  <si>
    <t>Choose VVF or VCF.</t>
  </si>
  <si>
    <t>Include Windows licensing in VMware/Proxmox?</t>
  </si>
  <si>
    <t>If Yes, the Hyper-V license cost is added to VMware and Proxmox totals.</t>
  </si>
  <si>
    <t>Windows license option</t>
  </si>
  <si>
    <t>Datacenter</t>
  </si>
  <si>
    <t>Choose Standard or Datacenter</t>
  </si>
  <si>
    <t>Platform</t>
  </si>
  <si>
    <t>Pricing Unit</t>
  </si>
  <si>
    <t>Qty</t>
  </si>
  <si>
    <t>Unit Price</t>
  </si>
  <si>
    <t>Annual Base License</t>
  </si>
  <si>
    <t>HCI Included TiB</t>
  </si>
  <si>
    <t>Total Raw Storage TiB</t>
  </si>
  <si>
    <t>Extra HCI TiB</t>
  </si>
  <si>
    <t>Annual HCI Add-on</t>
  </si>
  <si>
    <t>Annual Total
(w/o add windows license)</t>
  </si>
  <si>
    <t>1-Year Total</t>
  </si>
  <si>
    <t>3-Year Total</t>
  </si>
  <si>
    <t>5-Year Total</t>
  </si>
  <si>
    <t>Proxmox</t>
  </si>
  <si>
    <t>Hyper-V</t>
  </si>
  <si>
    <t>core calculation</t>
  </si>
  <si>
    <t>Lowest Cost Summary</t>
  </si>
  <si>
    <t>Term</t>
  </si>
  <si>
    <t>Lowest Platform</t>
  </si>
  <si>
    <t>Lowest Cost</t>
  </si>
  <si>
    <t>Second Lowest</t>
  </si>
  <si>
    <t>Savings vs Second</t>
  </si>
  <si>
    <t>1-Year</t>
  </si>
  <si>
    <t>3-Year</t>
  </si>
  <si>
    <t>5-Year</t>
  </si>
  <si>
    <t>Pricing &amp; Licensing Assumptions</t>
  </si>
  <si>
    <t>Assumption</t>
  </si>
  <si>
    <t>Unit / Type</t>
  </si>
  <si>
    <t>VMware Pricing Inputs</t>
  </si>
  <si>
    <t>VMware VVF price per core</t>
  </si>
  <si>
    <t>$/core/year</t>
  </si>
  <si>
    <t>Enter quoted annual price per core.</t>
  </si>
  <si>
    <t>VMware VCF price per core</t>
  </si>
  <si>
    <t>VMware vSAN add-on price per TiB</t>
  </si>
  <si>
    <t>$/TiB/year</t>
  </si>
  <si>
    <t>Meeting note placeholder: $210/TiB referenced; verify before external use.</t>
  </si>
  <si>
    <t>Proxmox Pricing Inputs</t>
  </si>
  <si>
    <t>Proxmox price per socket</t>
  </si>
  <si>
    <t>$/socket/year</t>
  </si>
  <si>
    <t>Proxmox modeled per socket.</t>
  </si>
  <si>
    <t>Hyper-V Pricing Inputs</t>
  </si>
  <si>
    <t>Windows Standard price per first 16-core</t>
  </si>
  <si>
    <t>Hyper-V modeled per core. Also used as the Windows licensing add-on for VMware and Proxmox when selected on Comparison.</t>
  </si>
  <si>
    <t>Windows Standard per additional 2-cores</t>
  </si>
  <si>
    <t>Windows Datacenter per first 16-core</t>
  </si>
  <si>
    <t>Windows Datacenter price per additional 2-cores</t>
  </si>
  <si>
    <t>Hyper-V Support</t>
  </si>
  <si>
    <t>$ per year</t>
  </si>
  <si>
    <t>Minimum - could be higher based on total MS spend.  Using third party support https://www.uscloud.com/microsoft-unified-support-pricing/</t>
  </si>
  <si>
    <t>HCI Included Storage Assumptions</t>
  </si>
  <si>
    <t>VVF included HCI storage per core</t>
  </si>
  <si>
    <t>TiB/core</t>
  </si>
  <si>
    <t>Meeting note: VVF includes 0.25 TiB / 250 GiB per core.</t>
  </si>
  <si>
    <t>VCF included HCI storage per core</t>
  </si>
  <si>
    <t>Meeting note: VCF includes 1 TiB per core.</t>
  </si>
  <si>
    <t>Proxmox extra HCI price per TiB</t>
  </si>
  <si>
    <t>Modeled as included/free unless changed.</t>
  </si>
  <si>
    <t>Hyper-V extra HCI price per TiB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</si>
</sst>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5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sz val="11"/>
      <color rgb="FFFF0000"/>
      <name val="Carlito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2F0D9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3" fillId="5" borderId="0" xfId="0" applyNumberFormat="1" applyFont="1" applyFill="1" applyAlignment="1">
      <alignment wrapText="1"/>
    </xf>
    <xf numFmtId="4" fontId="0" fillId="5" borderId="0" xfId="0" applyNumberFormat="1" applyFill="1" applyAlignment="1">
      <alignment horizontal="left" wrapText="1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0" fillId="5" borderId="0" xfId="0" applyNumberFormat="1" applyFill="1" applyAlignment="1">
      <alignment horizontal="left" wrapText="1"/>
    </xf>
    <xf numFmtId="164" fontId="3" fillId="5" borderId="0" xfId="0" applyNumberFormat="1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2903458432548746E-2"/>
          <c:y val="4.8062855779391213E-2"/>
          <c:w val="0.90371563166557789"/>
          <c:h val="0.73923339128063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Comparison!$K$13</c:f>
              <c:strCache>
                <c:ptCount val="1"/>
                <c:pt idx="0">
                  <c:v>1-Year Total</c:v>
                </c:pt>
              </c:strCache>
            </c:strRef>
          </c:tx>
          <c:invertIfNegative val="1"/>
          <c:cat>
            <c:strRef>
              <c:f>Comparison!$A$14:$A$16</c:f>
              <c:strCache>
                <c:ptCount val="3"/>
                <c:pt idx="0">
                  <c:v>VMware - VVF</c:v>
                </c:pt>
                <c:pt idx="1">
                  <c:v>Proxmox</c:v>
                </c:pt>
                <c:pt idx="2">
                  <c:v>Hyper-V</c:v>
                </c:pt>
              </c:strCache>
            </c:strRef>
          </c:cat>
          <c:val>
            <c:numRef>
              <c:f>Comparison!$K$14:$K$16</c:f>
              <c:numCache>
                <c:formatCode>\$#,##0</c:formatCode>
                <c:ptCount val="3"/>
                <c:pt idx="0">
                  <c:v>88298</c:v>
                </c:pt>
                <c:pt idx="1">
                  <c:v>69218</c:v>
                </c:pt>
                <c:pt idx="2">
                  <c:v>65918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B-4084-B69A-8C636D39E47B}"/>
            </c:ext>
          </c:extLst>
        </c:ser>
        <c:ser>
          <c:idx val="1"/>
          <c:order val="1"/>
          <c:tx>
            <c:strRef>
              <c:f>Comparison!$L$13</c:f>
              <c:strCache>
                <c:ptCount val="1"/>
                <c:pt idx="0">
                  <c:v>3-Year Total</c:v>
                </c:pt>
              </c:strCache>
            </c:strRef>
          </c:tx>
          <c:invertIfNegative val="1"/>
          <c:cat>
            <c:strRef>
              <c:f>Comparison!$A$14:$A$16</c:f>
              <c:strCache>
                <c:ptCount val="3"/>
                <c:pt idx="0">
                  <c:v>VMware - VVF</c:v>
                </c:pt>
                <c:pt idx="1">
                  <c:v>Proxmox</c:v>
                </c:pt>
                <c:pt idx="2">
                  <c:v>Hyper-V</c:v>
                </c:pt>
              </c:strCache>
            </c:strRef>
          </c:cat>
          <c:val>
            <c:numRef>
              <c:f>Comparison!$L$14:$L$16</c:f>
              <c:numCache>
                <c:formatCode>\$#,##0</c:formatCode>
                <c:ptCount val="3"/>
                <c:pt idx="0">
                  <c:v>143058</c:v>
                </c:pt>
                <c:pt idx="1">
                  <c:v>85818</c:v>
                </c:pt>
                <c:pt idx="2">
                  <c:v>75918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B-4084-B69A-8C636D39E47B}"/>
            </c:ext>
          </c:extLst>
        </c:ser>
        <c:ser>
          <c:idx val="2"/>
          <c:order val="2"/>
          <c:tx>
            <c:strRef>
              <c:f>Comparison!$M$13</c:f>
              <c:strCache>
                <c:ptCount val="1"/>
                <c:pt idx="0">
                  <c:v>5-Year Total</c:v>
                </c:pt>
              </c:strCache>
            </c:strRef>
          </c:tx>
          <c:invertIfNegative val="1"/>
          <c:cat>
            <c:strRef>
              <c:f>Comparison!$A$14:$A$16</c:f>
              <c:strCache>
                <c:ptCount val="3"/>
                <c:pt idx="0">
                  <c:v>VMware - VVF</c:v>
                </c:pt>
                <c:pt idx="1">
                  <c:v>Proxmox</c:v>
                </c:pt>
                <c:pt idx="2">
                  <c:v>Hyper-V</c:v>
                </c:pt>
              </c:strCache>
            </c:strRef>
          </c:cat>
          <c:val>
            <c:numRef>
              <c:f>Comparison!$M$14:$M$16</c:f>
              <c:numCache>
                <c:formatCode>\$#,##0</c:formatCode>
                <c:ptCount val="3"/>
                <c:pt idx="0">
                  <c:v>197818</c:v>
                </c:pt>
                <c:pt idx="1">
                  <c:v>102418</c:v>
                </c:pt>
                <c:pt idx="2">
                  <c:v>85918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B-4084-B69A-8C636D39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$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321945</xdr:colOff>
      <xdr:row>17</xdr:row>
      <xdr:rowOff>152400</xdr:rowOff>
    </xdr:from>
    <xdr:to>
      <xdr:col>12</xdr:col>
      <xdr:colOff>623454</xdr:colOff>
      <xdr:row>35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="110" zoomScaleNormal="110" workbookViewId="0">
      <selection activeCell="E15" sqref="E15"/>
    </sheetView>
  </sheetViews>
  <sheetFormatPr defaultColWidth="30.5" defaultRowHeight="13.9"/>
  <cols>
    <col min="1" max="1" width="30.875" bestFit="1" customWidth="1"/>
    <col min="2" max="2" width="15.25" bestFit="1" customWidth="1"/>
    <col min="3" max="3" width="11.875" bestFit="1" customWidth="1"/>
    <col min="4" max="4" width="14.625" bestFit="1" customWidth="1"/>
    <col min="5" max="5" width="19.625" bestFit="1" customWidth="1"/>
    <col min="6" max="6" width="16" bestFit="1" customWidth="1"/>
    <col min="7" max="7" width="11.5" bestFit="1" customWidth="1"/>
    <col min="8" max="8" width="21.5" bestFit="1" customWidth="1"/>
    <col min="9" max="9" width="10.625" bestFit="1" customWidth="1"/>
    <col min="10" max="10" width="24.25" bestFit="1" customWidth="1"/>
    <col min="11" max="14" width="11.625" bestFit="1" customWidth="1"/>
  </cols>
  <sheetData>
    <row r="1" spans="1:14" ht="2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2" t="s">
        <v>1</v>
      </c>
      <c r="B3" s="2" t="s">
        <v>2</v>
      </c>
      <c r="C3" s="24" t="s">
        <v>3</v>
      </c>
      <c r="D3" s="24"/>
      <c r="E3" s="24"/>
      <c r="F3" s="24"/>
      <c r="G3" s="5"/>
      <c r="H3" s="2" t="s">
        <v>4</v>
      </c>
      <c r="I3" s="2" t="s">
        <v>2</v>
      </c>
      <c r="J3" s="5"/>
      <c r="K3" s="5"/>
      <c r="L3" s="5"/>
      <c r="M3" s="5"/>
      <c r="N3" s="5"/>
    </row>
    <row r="4" spans="1:14">
      <c r="A4" s="18" t="s">
        <v>5</v>
      </c>
      <c r="B4" s="19">
        <v>3</v>
      </c>
      <c r="C4" s="25" t="s">
        <v>6</v>
      </c>
      <c r="D4" s="25"/>
      <c r="E4" s="25"/>
      <c r="F4" s="25"/>
      <c r="G4" s="5"/>
      <c r="H4" s="6" t="s">
        <v>7</v>
      </c>
      <c r="I4" s="7">
        <f>B4*B5*B6</f>
        <v>96</v>
      </c>
      <c r="J4" s="5"/>
      <c r="K4" s="20"/>
      <c r="L4" s="5"/>
      <c r="M4" s="5"/>
      <c r="N4" s="5"/>
    </row>
    <row r="5" spans="1:14">
      <c r="A5" s="18" t="s">
        <v>8</v>
      </c>
      <c r="B5" s="19">
        <v>2</v>
      </c>
      <c r="C5" s="25" t="s">
        <v>9</v>
      </c>
      <c r="D5" s="25"/>
      <c r="E5" s="25"/>
      <c r="F5" s="25"/>
      <c r="G5" s="5"/>
      <c r="H5" s="6" t="s">
        <v>10</v>
      </c>
      <c r="I5" s="7">
        <f>B4*B5</f>
        <v>6</v>
      </c>
      <c r="J5" s="5"/>
      <c r="K5" s="20"/>
      <c r="L5" s="5"/>
      <c r="M5" s="5"/>
      <c r="N5" s="5"/>
    </row>
    <row r="6" spans="1:14">
      <c r="A6" s="18" t="s">
        <v>11</v>
      </c>
      <c r="B6" s="19">
        <v>16</v>
      </c>
      <c r="C6" s="25" t="s">
        <v>12</v>
      </c>
      <c r="D6" s="25"/>
      <c r="E6" s="25"/>
      <c r="F6" s="25"/>
      <c r="G6" s="5"/>
      <c r="H6" s="6" t="s">
        <v>13</v>
      </c>
      <c r="I6" s="7">
        <f>B4*B7</f>
        <v>30</v>
      </c>
      <c r="J6" s="5"/>
      <c r="K6" s="5"/>
      <c r="L6" s="5"/>
      <c r="M6" s="5"/>
      <c r="N6" s="5"/>
    </row>
    <row r="7" spans="1:14">
      <c r="A7" s="18" t="s">
        <v>14</v>
      </c>
      <c r="B7" s="19">
        <v>10</v>
      </c>
      <c r="C7" s="25" t="s">
        <v>15</v>
      </c>
      <c r="D7" s="25"/>
      <c r="E7" s="25"/>
      <c r="F7" s="25"/>
      <c r="G7" s="5"/>
      <c r="H7" s="5"/>
      <c r="I7" s="5"/>
      <c r="J7" s="5"/>
      <c r="K7" s="5"/>
      <c r="L7" s="5"/>
      <c r="M7" s="5"/>
      <c r="N7" s="5"/>
    </row>
    <row r="8" spans="1:14">
      <c r="A8" s="18" t="s">
        <v>16</v>
      </c>
      <c r="B8" s="19" t="s">
        <v>17</v>
      </c>
      <c r="C8" s="25" t="s">
        <v>18</v>
      </c>
      <c r="D8" s="25"/>
      <c r="E8" s="25"/>
      <c r="F8" s="25"/>
      <c r="G8" s="5"/>
      <c r="H8" s="5"/>
      <c r="I8" s="5"/>
      <c r="J8" s="5"/>
      <c r="K8" s="5"/>
      <c r="L8" s="5"/>
      <c r="M8" s="5"/>
      <c r="N8" s="5"/>
    </row>
    <row r="9" spans="1:14">
      <c r="A9" s="18" t="s">
        <v>19</v>
      </c>
      <c r="B9" s="19" t="s">
        <v>20</v>
      </c>
      <c r="C9" s="25" t="s">
        <v>21</v>
      </c>
      <c r="D9" s="25"/>
      <c r="E9" s="25"/>
      <c r="F9" s="25"/>
      <c r="G9" s="5"/>
      <c r="H9" s="5"/>
      <c r="I9" s="5"/>
      <c r="J9" s="5"/>
      <c r="K9" s="5"/>
      <c r="L9" s="5"/>
      <c r="M9" s="5"/>
      <c r="N9" s="5"/>
    </row>
    <row r="10" spans="1:14" ht="27.6">
      <c r="A10" s="18" t="s">
        <v>22</v>
      </c>
      <c r="B10" s="19" t="s">
        <v>17</v>
      </c>
      <c r="C10" s="25" t="s">
        <v>23</v>
      </c>
      <c r="D10" s="25"/>
      <c r="E10" s="25"/>
      <c r="F10" s="25"/>
      <c r="G10" s="5"/>
      <c r="H10" s="5"/>
      <c r="I10" s="5"/>
      <c r="J10" s="5"/>
      <c r="K10" s="5"/>
      <c r="L10" s="5"/>
      <c r="M10" s="5"/>
      <c r="N10" s="5"/>
    </row>
    <row r="11" spans="1:14">
      <c r="A11" s="18" t="s">
        <v>24</v>
      </c>
      <c r="B11" s="19" t="s">
        <v>25</v>
      </c>
      <c r="C11" s="25" t="s">
        <v>26</v>
      </c>
      <c r="D11" s="25"/>
      <c r="E11" s="25"/>
      <c r="F11" s="25"/>
      <c r="G11" s="5"/>
      <c r="H11" s="5"/>
      <c r="I11" s="5"/>
      <c r="J11" s="5"/>
      <c r="K11" s="5"/>
      <c r="L11" s="5"/>
      <c r="M11" s="5"/>
      <c r="N11" s="5"/>
    </row>
    <row r="12" spans="1:14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27.6">
      <c r="A13" s="2" t="s">
        <v>27</v>
      </c>
      <c r="B13" s="2" t="s">
        <v>28</v>
      </c>
      <c r="C13" s="2" t="s">
        <v>29</v>
      </c>
      <c r="D13" s="2" t="s">
        <v>30</v>
      </c>
      <c r="E13" s="2" t="s">
        <v>31</v>
      </c>
      <c r="F13" s="2" t="s">
        <v>32</v>
      </c>
      <c r="G13" s="2" t="s">
        <v>33</v>
      </c>
      <c r="H13" s="2" t="s">
        <v>34</v>
      </c>
      <c r="I13" s="2" t="s">
        <v>35</v>
      </c>
      <c r="J13" s="2" t="s">
        <v>36</v>
      </c>
      <c r="K13" s="2" t="s">
        <v>37</v>
      </c>
      <c r="L13" s="2" t="s">
        <v>38</v>
      </c>
      <c r="M13" s="3" t="s">
        <v>39</v>
      </c>
    </row>
    <row r="14" spans="1:14">
      <c r="A14" s="5" t="str">
        <f>_xlfn.CONCAT("VMware - ",$B$9)</f>
        <v>VMware - VVF</v>
      </c>
      <c r="B14" s="5" t="str">
        <f>"per core"</f>
        <v>per core</v>
      </c>
      <c r="C14" s="9">
        <f>$I$4</f>
        <v>96</v>
      </c>
      <c r="D14" s="8">
        <f>IF($B$9="VVF",'Pricing Inputs'!$B$5,'Pricing Inputs'!$B$6)</f>
        <v>220</v>
      </c>
      <c r="E14" s="8">
        <f>C14*D14</f>
        <v>21120</v>
      </c>
      <c r="F14" s="10">
        <f>IF($B$8="Yes",$I$4*IF($B$9="VVF",'Pricing Inputs'!$B$17,'Pricing Inputs'!$B$18),0)</f>
        <v>24</v>
      </c>
      <c r="G14" s="10">
        <f>IF($B$8="Yes",$I$6,0)</f>
        <v>30</v>
      </c>
      <c r="H14" s="10">
        <f>IF($B$8="Yes",MAX(0,G14-F14),0)</f>
        <v>6</v>
      </c>
      <c r="I14" s="8">
        <f>H14*'Pricing Inputs'!$B$7</f>
        <v>1260</v>
      </c>
      <c r="J14" s="8">
        <f>E14+I14</f>
        <v>22380</v>
      </c>
      <c r="K14" s="8">
        <f>J14+IF($B$10="Yes",$K$16,0)</f>
        <v>88298</v>
      </c>
      <c r="L14" s="8">
        <f>J14*3+IF($B$10="Yes",$L$16,0)</f>
        <v>143058</v>
      </c>
      <c r="M14" s="8">
        <f>J14*5+IF($B$10="Yes",$M$16,0)</f>
        <v>197818</v>
      </c>
    </row>
    <row r="15" spans="1:14">
      <c r="A15" s="5" t="s">
        <v>40</v>
      </c>
      <c r="B15" s="5" t="str">
        <f>"per socket"</f>
        <v>per socket</v>
      </c>
      <c r="C15" s="9">
        <f>$I$5</f>
        <v>6</v>
      </c>
      <c r="D15" s="8">
        <f>'Pricing Inputs'!$B$9</f>
        <v>550</v>
      </c>
      <c r="E15" s="8">
        <f>C15*D15</f>
        <v>3300</v>
      </c>
      <c r="F15" s="10">
        <f>IF($B$8="Yes",$I$6,0)</f>
        <v>30</v>
      </c>
      <c r="G15" s="10">
        <f>IF($B$8="Yes",$I$6,0)</f>
        <v>30</v>
      </c>
      <c r="H15" s="10">
        <f>IF($B$8="Yes",MAX(0,G15-F15),0)</f>
        <v>0</v>
      </c>
      <c r="I15" s="8">
        <f>H15*'Pricing Inputs'!$B$19</f>
        <v>0</v>
      </c>
      <c r="J15" s="8">
        <f>E15+I15</f>
        <v>3300</v>
      </c>
      <c r="K15" s="8">
        <f>J15+IF($B$10="Yes",$K$16,0)</f>
        <v>69218</v>
      </c>
      <c r="L15" s="8">
        <f>J15*3+IF($B$10="Yes",$L$16,0)</f>
        <v>85818</v>
      </c>
      <c r="M15" s="8">
        <f>J15*5+IF($B$10="Yes",$M$16,0)</f>
        <v>102418</v>
      </c>
    </row>
    <row r="16" spans="1:14">
      <c r="A16" s="5" t="s">
        <v>41</v>
      </c>
      <c r="B16" s="5" t="s">
        <v>42</v>
      </c>
      <c r="C16" s="9">
        <f>$I$4</f>
        <v>96</v>
      </c>
      <c r="D16" s="8"/>
      <c r="E16" s="8">
        <f>M16/5</f>
        <v>17183.599999999999</v>
      </c>
      <c r="F16" s="10">
        <f>IF($B$8="Yes",$I$6,0)</f>
        <v>30</v>
      </c>
      <c r="G16" s="10">
        <f>IF($B$8="Yes",$I$6,0)</f>
        <v>30</v>
      </c>
      <c r="H16" s="10">
        <f>IF($B$8="Yes",MAX(0,G16-F16),0)</f>
        <v>0</v>
      </c>
      <c r="I16" s="8">
        <f>H16*'Pricing Inputs'!$B$20</f>
        <v>0</v>
      </c>
      <c r="J16" s="8">
        <f>E16+I16</f>
        <v>17183.599999999999</v>
      </c>
      <c r="K16" s="8">
        <f>B4*(IF(B11="Standard",'Pricing Inputs'!$B$11,'Pricing Inputs'!$B$13)+IF(Comparison!B6*Comparison!B5&gt;16,(Comparison!B6*Comparison!B5-16)*IF(B11="Standard",'Pricing Inputs'!$B$12,'Pricing Inputs'!B14),0))+'Pricing Inputs'!B15</f>
        <v>65918</v>
      </c>
      <c r="L16" s="8">
        <f>B4*(IF(B11="Standard",'Pricing Inputs'!$B$11,'Pricing Inputs'!$B$13)+IF(Comparison!B6*Comparison!B5&gt;16,(Comparison!B6*Comparison!B5-16)*IF(B11="Standard",'Pricing Inputs'!$B$12,'Pricing Inputs'!B14),0))+'Pricing Inputs'!B15*3</f>
        <v>75918</v>
      </c>
      <c r="M16" s="8">
        <f>B4*(IF(B11="Standard",'Pricing Inputs'!$B$11,'Pricing Inputs'!$B$13)+IF(Comparison!B6*Comparison!B5&gt;16,(Comparison!B6*Comparison!B5-16)*IF(B11="Standard",'Pricing Inputs'!$B$12,'Pricing Inputs'!B14),0))+'Pricing Inputs'!B15*5</f>
        <v>85918</v>
      </c>
    </row>
    <row r="17" spans="1:14">
      <c r="A17" s="5"/>
      <c r="B17" s="5"/>
      <c r="C17" s="5"/>
      <c r="D17" s="9"/>
      <c r="E17" s="8"/>
      <c r="F17" s="8"/>
      <c r="G17" s="13"/>
      <c r="H17" s="13"/>
      <c r="I17" s="13"/>
      <c r="J17" s="14"/>
      <c r="K17" s="14"/>
      <c r="L17" s="14"/>
      <c r="M17" s="14"/>
      <c r="N17" s="14"/>
    </row>
    <row r="18" spans="1:14">
      <c r="F18" s="5"/>
      <c r="G18" s="15"/>
      <c r="H18" s="16"/>
      <c r="I18" s="16"/>
      <c r="J18" s="16"/>
      <c r="K18" s="16"/>
      <c r="L18" s="16"/>
      <c r="M18" s="16"/>
      <c r="N18" s="16"/>
    </row>
    <row r="19" spans="1:14">
      <c r="F19" s="5"/>
      <c r="G19" s="17"/>
      <c r="H19" s="17"/>
      <c r="I19" s="17"/>
      <c r="J19" s="17"/>
      <c r="K19" s="17"/>
      <c r="L19" s="17"/>
      <c r="M19" s="17"/>
      <c r="N19" s="17"/>
    </row>
    <row r="20" spans="1:14">
      <c r="F20" s="5"/>
      <c r="G20" s="15"/>
      <c r="H20" s="15"/>
      <c r="I20" s="15"/>
      <c r="J20" s="15"/>
      <c r="K20" s="15"/>
      <c r="L20" s="15"/>
      <c r="M20" s="15"/>
      <c r="N20" s="15"/>
    </row>
    <row r="21" spans="1:14">
      <c r="A21" s="2" t="s">
        <v>43</v>
      </c>
      <c r="B21" s="2"/>
      <c r="C21" s="2"/>
      <c r="D21" s="2"/>
      <c r="E21" s="2"/>
      <c r="F21" s="5"/>
      <c r="G21" s="15"/>
      <c r="H21" s="15"/>
      <c r="I21" s="15"/>
      <c r="J21" s="15"/>
      <c r="K21" s="15"/>
      <c r="L21" s="15"/>
      <c r="M21" s="15"/>
      <c r="N21" s="15"/>
    </row>
    <row r="22" spans="1:14">
      <c r="A22" s="23" t="s">
        <v>44</v>
      </c>
      <c r="B22" s="23" t="s">
        <v>45</v>
      </c>
      <c r="C22" s="23" t="s">
        <v>46</v>
      </c>
      <c r="D22" s="23" t="s">
        <v>47</v>
      </c>
      <c r="E22" s="23" t="s">
        <v>48</v>
      </c>
      <c r="F22" s="5"/>
      <c r="G22" s="15"/>
      <c r="H22" s="15"/>
      <c r="I22" s="15"/>
      <c r="J22" s="15"/>
      <c r="K22" s="15"/>
      <c r="L22" s="15"/>
      <c r="M22" s="15"/>
      <c r="N22" s="15"/>
    </row>
    <row r="23" spans="1:14">
      <c r="A23" s="5" t="s">
        <v>49</v>
      </c>
      <c r="B23" s="5" t="str">
        <f>INDEX($A$14:$A$16,MATCH(MIN($K$14:$K$16),$K$14:$K$16,0))</f>
        <v>Hyper-V</v>
      </c>
      <c r="C23" s="8">
        <f>MIN($K$14:$K$16)</f>
        <v>65918</v>
      </c>
      <c r="D23" s="8">
        <f>SMALL($K$14:$K$16,2)</f>
        <v>69218</v>
      </c>
      <c r="E23" s="8">
        <f>D23-C23</f>
        <v>3300</v>
      </c>
      <c r="F23" s="5"/>
      <c r="G23" s="15"/>
      <c r="H23" s="15"/>
      <c r="I23" s="15"/>
      <c r="J23" s="15"/>
      <c r="K23" s="15"/>
      <c r="L23" s="15"/>
      <c r="M23" s="15"/>
      <c r="N23" s="15"/>
    </row>
    <row r="24" spans="1:14">
      <c r="A24" s="5" t="s">
        <v>50</v>
      </c>
      <c r="B24" s="5" t="str">
        <f>INDEX($A$14:$A$16,MATCH(MIN($L$14:$L$16),$L$14:$L$16,0))</f>
        <v>Hyper-V</v>
      </c>
      <c r="C24" s="8">
        <f>MIN($L$14:$L$16)</f>
        <v>75918</v>
      </c>
      <c r="D24" s="8">
        <f>SMALL($L$14:$L$16,2)</f>
        <v>85818</v>
      </c>
      <c r="E24" s="8">
        <f>D24-C24</f>
        <v>9900</v>
      </c>
      <c r="F24" s="5"/>
      <c r="G24" s="5"/>
      <c r="H24" s="5"/>
      <c r="I24" s="5"/>
      <c r="J24" s="5"/>
      <c r="K24" s="5"/>
      <c r="L24" s="5"/>
      <c r="M24" s="5"/>
      <c r="N24" s="5"/>
    </row>
    <row r="25" spans="1:14">
      <c r="A25" s="5" t="s">
        <v>51</v>
      </c>
      <c r="B25" s="5" t="str">
        <f>INDEX($A$14:$A$16,MATCH(MIN($M$14:$M$16),$M$14:$M$16,0))</f>
        <v>Hyper-V</v>
      </c>
      <c r="C25" s="8">
        <f>MIN($M$14:$M$16)</f>
        <v>85918</v>
      </c>
      <c r="D25" s="8">
        <f>SMALL($M$14:$M$16,2)</f>
        <v>102418</v>
      </c>
      <c r="E25" s="8">
        <f>D25-C25</f>
        <v>16500</v>
      </c>
      <c r="F25" s="5"/>
      <c r="G25" s="5"/>
      <c r="H25" s="5"/>
      <c r="I25" s="5"/>
      <c r="J25" s="5"/>
      <c r="K25" s="5"/>
      <c r="L25" s="5"/>
      <c r="M25" s="5"/>
      <c r="N25" s="5"/>
    </row>
    <row r="26" spans="1:14">
      <c r="A26" s="5"/>
      <c r="B26" s="5"/>
      <c r="C26" s="8"/>
      <c r="D26" s="8"/>
      <c r="E26" s="8"/>
      <c r="F26" s="5"/>
      <c r="G26" s="5"/>
      <c r="H26" s="5"/>
      <c r="I26" s="5"/>
      <c r="J26" s="5"/>
      <c r="K26" s="5"/>
      <c r="L26" s="5"/>
      <c r="M26" s="5"/>
      <c r="N26" s="5"/>
    </row>
  </sheetData>
  <mergeCells count="10">
    <mergeCell ref="C8:F8"/>
    <mergeCell ref="C9:F9"/>
    <mergeCell ref="C10:F10"/>
    <mergeCell ref="C11:F11"/>
    <mergeCell ref="A1:N1"/>
    <mergeCell ref="C3:F3"/>
    <mergeCell ref="C4:F4"/>
    <mergeCell ref="C5:F5"/>
    <mergeCell ref="C6:F6"/>
    <mergeCell ref="C7:F7"/>
  </mergeCells>
  <dataValidations disablePrompts="1" count="3">
    <dataValidation type="list" sqref="B9" xr:uid="{00000000-0002-0000-0000-000000000000}">
      <formula1>"VVF,VCF"</formula1>
    </dataValidation>
    <dataValidation type="list" sqref="B10 B8" xr:uid="{00000000-0002-0000-0000-000001000000}">
      <formula1>"Yes,No"</formula1>
    </dataValidation>
    <dataValidation type="list" sqref="B11" xr:uid="{7D80CFE9-57DC-491A-874C-E765E742DA05}">
      <formula1>"Standard,Datacenter"</formula1>
    </dataValidation>
  </dataValidations>
  <pageMargins left="0.7" right="0.7" top="0.75" bottom="0.75" header="0.3" footer="0.3"/>
  <ignoredErrors>
    <ignoredError sqref="B15:C1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B16" sqref="B16"/>
    </sheetView>
  </sheetViews>
  <sheetFormatPr defaultRowHeight="13.9"/>
  <cols>
    <col min="1" max="1" width="44.625" customWidth="1"/>
    <col min="2" max="2" width="14" customWidth="1"/>
    <col min="3" max="3" width="18" customWidth="1"/>
    <col min="4" max="4" width="70" customWidth="1"/>
  </cols>
  <sheetData>
    <row r="1" spans="1:4" ht="22.35" customHeight="1">
      <c r="A1" s="27" t="s">
        <v>52</v>
      </c>
      <c r="B1" s="27"/>
      <c r="C1" s="27"/>
      <c r="D1" s="27"/>
    </row>
    <row r="2" spans="1:4">
      <c r="A2" s="1"/>
      <c r="B2" s="1"/>
      <c r="C2" s="1"/>
      <c r="D2" s="1"/>
    </row>
    <row r="3" spans="1:4">
      <c r="A3" s="2" t="s">
        <v>53</v>
      </c>
      <c r="B3" s="2" t="s">
        <v>2</v>
      </c>
      <c r="C3" s="2" t="s">
        <v>54</v>
      </c>
      <c r="D3" s="2" t="s">
        <v>3</v>
      </c>
    </row>
    <row r="4" spans="1:4">
      <c r="A4" s="4" t="s">
        <v>55</v>
      </c>
      <c r="B4" s="4"/>
      <c r="C4" s="4"/>
      <c r="D4" s="4"/>
    </row>
    <row r="5" spans="1:4">
      <c r="A5" s="1" t="s">
        <v>56</v>
      </c>
      <c r="B5" s="21">
        <v>220</v>
      </c>
      <c r="C5" s="1" t="s">
        <v>57</v>
      </c>
      <c r="D5" s="1" t="s">
        <v>58</v>
      </c>
    </row>
    <row r="6" spans="1:4">
      <c r="A6" s="1" t="s">
        <v>59</v>
      </c>
      <c r="B6" s="21">
        <v>350</v>
      </c>
      <c r="C6" s="1" t="s">
        <v>57</v>
      </c>
      <c r="D6" s="1" t="s">
        <v>58</v>
      </c>
    </row>
    <row r="7" spans="1:4">
      <c r="A7" s="1" t="s">
        <v>60</v>
      </c>
      <c r="B7" s="21">
        <v>210</v>
      </c>
      <c r="C7" s="1" t="s">
        <v>61</v>
      </c>
      <c r="D7" s="1" t="s">
        <v>62</v>
      </c>
    </row>
    <row r="8" spans="1:4">
      <c r="A8" s="4" t="s">
        <v>63</v>
      </c>
      <c r="B8" s="22"/>
      <c r="C8" s="4"/>
      <c r="D8" s="4"/>
    </row>
    <row r="9" spans="1:4">
      <c r="A9" s="1" t="s">
        <v>64</v>
      </c>
      <c r="B9" s="21">
        <v>550</v>
      </c>
      <c r="C9" s="1" t="s">
        <v>65</v>
      </c>
      <c r="D9" s="1" t="s">
        <v>66</v>
      </c>
    </row>
    <row r="10" spans="1:4">
      <c r="A10" s="4" t="s">
        <v>67</v>
      </c>
      <c r="B10" s="22"/>
      <c r="C10" s="4"/>
      <c r="D10" s="4"/>
    </row>
    <row r="11" spans="1:4" ht="27.6">
      <c r="A11" s="1" t="s">
        <v>68</v>
      </c>
      <c r="B11" s="21">
        <v>1176</v>
      </c>
      <c r="C11" s="1" t="s">
        <v>57</v>
      </c>
      <c r="D11" s="1" t="s">
        <v>69</v>
      </c>
    </row>
    <row r="12" spans="1:4" ht="27.6">
      <c r="A12" s="1" t="s">
        <v>70</v>
      </c>
      <c r="B12" s="21">
        <v>147</v>
      </c>
      <c r="C12" s="1" t="s">
        <v>57</v>
      </c>
      <c r="D12" s="1" t="s">
        <v>69</v>
      </c>
    </row>
    <row r="13" spans="1:4" ht="27.6">
      <c r="A13" s="1" t="s">
        <v>71</v>
      </c>
      <c r="B13" s="21">
        <v>6770</v>
      </c>
      <c r="C13" s="1" t="s">
        <v>57</v>
      </c>
      <c r="D13" s="1" t="s">
        <v>69</v>
      </c>
    </row>
    <row r="14" spans="1:4" ht="27.6">
      <c r="A14" s="1" t="s">
        <v>72</v>
      </c>
      <c r="B14" s="21">
        <v>846</v>
      </c>
      <c r="C14" s="1" t="s">
        <v>57</v>
      </c>
      <c r="D14" s="1" t="s">
        <v>69</v>
      </c>
    </row>
    <row r="15" spans="1:4" ht="27.6">
      <c r="A15" s="1" t="s">
        <v>73</v>
      </c>
      <c r="B15" s="21">
        <v>5000</v>
      </c>
      <c r="C15" s="1" t="s">
        <v>74</v>
      </c>
      <c r="D15" s="1" t="s">
        <v>75</v>
      </c>
    </row>
    <row r="16" spans="1:4">
      <c r="A16" s="4" t="s">
        <v>76</v>
      </c>
      <c r="B16" s="11"/>
      <c r="C16" s="4"/>
      <c r="D16" s="4"/>
    </row>
    <row r="17" spans="1:4">
      <c r="A17" s="1" t="s">
        <v>77</v>
      </c>
      <c r="B17" s="12">
        <v>0.25</v>
      </c>
      <c r="C17" s="1" t="s">
        <v>78</v>
      </c>
      <c r="D17" s="1" t="s">
        <v>79</v>
      </c>
    </row>
    <row r="18" spans="1:4">
      <c r="A18" s="1" t="s">
        <v>80</v>
      </c>
      <c r="B18" s="12">
        <v>1</v>
      </c>
      <c r="C18" s="1" t="s">
        <v>78</v>
      </c>
      <c r="D18" s="1" t="s">
        <v>81</v>
      </c>
    </row>
    <row r="19" spans="1:4">
      <c r="A19" s="1" t="s">
        <v>82</v>
      </c>
      <c r="B19" s="12">
        <v>0</v>
      </c>
      <c r="C19" s="1" t="s">
        <v>61</v>
      </c>
      <c r="D19" s="1" t="s">
        <v>83</v>
      </c>
    </row>
    <row r="20" spans="1:4">
      <c r="A20" s="1" t="s">
        <v>84</v>
      </c>
      <c r="B20" s="12">
        <v>0</v>
      </c>
      <c r="C20" s="1" t="s">
        <v>61</v>
      </c>
      <c r="D20" s="1" t="s">
        <v>83</v>
      </c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2026-06-05T14:40:24Z</dcterms:created>
  <dcterms:modified xsi:type="dcterms:W3CDTF">2026-07-08T19:56:50Z</dcterms:modified>
  <cp:category/>
  <cp:contentStatus/>
</cp:coreProperties>
</file>